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2420" yWindow="-20" windowWidth="20480" windowHeight="14100" tabRatio="500" activeTab="3"/>
  </bookViews>
  <sheets>
    <sheet name="56.1 (1)" sheetId="1" r:id="rId1"/>
    <sheet name="46.1 (1)" sheetId="2" r:id="rId2"/>
    <sheet name="37.1 (2)" sheetId="3" r:id="rId3"/>
    <sheet name="46.1 (2)" sheetId="4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2" i="4" l="1"/>
  <c r="D12" i="3"/>
  <c r="D12" i="2"/>
  <c r="G7" i="1"/>
  <c r="G5" i="2"/>
  <c r="G5" i="3"/>
  <c r="G5" i="4"/>
  <c r="B30" i="4"/>
  <c r="D4" i="4"/>
  <c r="D9" i="4"/>
  <c r="B35" i="4"/>
  <c r="B36" i="4"/>
  <c r="B37" i="4"/>
  <c r="B31" i="4"/>
  <c r="D27" i="4"/>
  <c r="D28" i="4"/>
  <c r="D24" i="4"/>
  <c r="B6" i="4"/>
  <c r="D3" i="4"/>
  <c r="D5" i="4"/>
  <c r="D16" i="4"/>
  <c r="D6" i="4"/>
  <c r="D7" i="4"/>
  <c r="D10" i="4"/>
  <c r="D11" i="4"/>
  <c r="G10" i="4"/>
  <c r="D15" i="4"/>
  <c r="G12" i="4"/>
  <c r="D8" i="4"/>
  <c r="G3" i="4"/>
  <c r="B30" i="3"/>
  <c r="D9" i="3"/>
  <c r="B35" i="3"/>
  <c r="B36" i="3"/>
  <c r="B37" i="3"/>
  <c r="B31" i="3"/>
  <c r="D27" i="3"/>
  <c r="D28" i="3"/>
  <c r="D24" i="3"/>
  <c r="B6" i="3"/>
  <c r="D3" i="3"/>
  <c r="D4" i="3"/>
  <c r="D5" i="3"/>
  <c r="D16" i="3"/>
  <c r="D6" i="3"/>
  <c r="D7" i="3"/>
  <c r="D10" i="3"/>
  <c r="D11" i="3"/>
  <c r="G10" i="3"/>
  <c r="D15" i="3"/>
  <c r="G12" i="3"/>
  <c r="D8" i="3"/>
  <c r="G3" i="3"/>
  <c r="B30" i="2"/>
  <c r="D15" i="1"/>
  <c r="D4" i="2"/>
  <c r="D9" i="2"/>
  <c r="B35" i="2"/>
  <c r="B36" i="2"/>
  <c r="B37" i="2"/>
  <c r="B31" i="2"/>
  <c r="D27" i="2"/>
  <c r="D28" i="2"/>
  <c r="D24" i="2"/>
  <c r="B6" i="2"/>
  <c r="D3" i="2"/>
  <c r="D5" i="2"/>
  <c r="D16" i="2"/>
  <c r="D6" i="2"/>
  <c r="D7" i="2"/>
  <c r="D10" i="2"/>
  <c r="D11" i="2"/>
  <c r="G10" i="2"/>
  <c r="D15" i="2"/>
  <c r="G12" i="2"/>
  <c r="D8" i="2"/>
  <c r="G3" i="2"/>
  <c r="B6" i="1"/>
  <c r="D6" i="1"/>
  <c r="D5" i="1"/>
  <c r="D10" i="1"/>
  <c r="D11" i="1"/>
  <c r="G10" i="1"/>
  <c r="G12" i="1"/>
  <c r="B30" i="1"/>
  <c r="B35" i="1"/>
  <c r="B36" i="1"/>
  <c r="B37" i="1"/>
  <c r="D27" i="1"/>
  <c r="D28" i="1"/>
  <c r="B31" i="1"/>
  <c r="D3" i="1"/>
  <c r="D4" i="1"/>
  <c r="D7" i="1"/>
  <c r="D9" i="1"/>
  <c r="D12" i="1"/>
  <c r="AA6" i="1"/>
  <c r="AD6" i="1"/>
  <c r="AA7" i="1"/>
  <c r="AD7" i="1"/>
  <c r="AA8" i="1"/>
  <c r="AD8" i="1"/>
  <c r="AA9" i="1"/>
  <c r="AD9" i="1"/>
  <c r="AA10" i="1"/>
  <c r="AD10" i="1"/>
  <c r="AA11" i="1"/>
  <c r="AD11" i="1"/>
  <c r="AA12" i="1"/>
  <c r="AD12" i="1"/>
  <c r="AA13" i="1"/>
  <c r="AD13" i="1"/>
  <c r="AA14" i="1"/>
  <c r="AD14" i="1"/>
  <c r="AA15" i="1"/>
  <c r="AD15" i="1"/>
  <c r="AA16" i="1"/>
  <c r="AD16" i="1"/>
  <c r="AA17" i="1"/>
  <c r="AD17" i="1"/>
  <c r="AA18" i="1"/>
  <c r="AD18" i="1"/>
  <c r="AA19" i="1"/>
  <c r="AD19" i="1"/>
  <c r="AA20" i="1"/>
  <c r="AD20" i="1"/>
  <c r="AA21" i="1"/>
  <c r="AD21" i="1"/>
  <c r="AA22" i="1"/>
  <c r="AD22" i="1"/>
  <c r="AA23" i="1"/>
  <c r="AD23" i="1"/>
  <c r="AA24" i="1"/>
  <c r="AD24" i="1"/>
  <c r="AA25" i="1"/>
  <c r="AD25" i="1"/>
  <c r="AA26" i="1"/>
  <c r="AD26" i="1"/>
  <c r="AA27" i="1"/>
  <c r="AD27" i="1"/>
  <c r="AA28" i="1"/>
  <c r="AD28" i="1"/>
  <c r="AA29" i="1"/>
  <c r="AD29" i="1"/>
  <c r="AA30" i="1"/>
  <c r="AD30" i="1"/>
  <c r="AA31" i="1"/>
  <c r="AD31" i="1"/>
  <c r="AA32" i="1"/>
  <c r="AD32" i="1"/>
  <c r="AA33" i="1"/>
  <c r="AD33" i="1"/>
  <c r="AA34" i="1"/>
  <c r="AD34" i="1"/>
  <c r="AA35" i="1"/>
  <c r="AD35" i="1"/>
  <c r="AA36" i="1"/>
  <c r="AD36" i="1"/>
  <c r="V37" i="1"/>
  <c r="Y37" i="1"/>
  <c r="V38" i="1"/>
  <c r="Y38" i="1"/>
  <c r="V39" i="1"/>
  <c r="Y39" i="1"/>
  <c r="V40" i="1"/>
  <c r="Y40" i="1"/>
  <c r="V41" i="1"/>
  <c r="Y41" i="1"/>
  <c r="V42" i="1"/>
  <c r="Y42" i="1"/>
  <c r="V43" i="1"/>
  <c r="Y43" i="1"/>
  <c r="V44" i="1"/>
  <c r="Y44" i="1"/>
  <c r="V45" i="1"/>
  <c r="Y45" i="1"/>
  <c r="V46" i="1"/>
  <c r="Y46" i="1"/>
  <c r="V47" i="1"/>
  <c r="Y47" i="1"/>
  <c r="V48" i="1"/>
  <c r="Y48" i="1"/>
  <c r="V49" i="1"/>
  <c r="Y49" i="1"/>
  <c r="V50" i="1"/>
  <c r="Y50" i="1"/>
  <c r="V51" i="1"/>
  <c r="Y51" i="1"/>
  <c r="V52" i="1"/>
  <c r="Y52" i="1"/>
  <c r="V53" i="1"/>
  <c r="Y53" i="1"/>
  <c r="V54" i="1"/>
  <c r="Y54" i="1"/>
  <c r="V55" i="1"/>
  <c r="Y55" i="1"/>
  <c r="V56" i="1"/>
  <c r="Y56" i="1"/>
  <c r="V57" i="1"/>
  <c r="Y57" i="1"/>
  <c r="V58" i="1"/>
  <c r="Y58" i="1"/>
  <c r="AA5" i="1"/>
  <c r="AD5" i="1"/>
  <c r="D8" i="1"/>
  <c r="D16" i="1"/>
  <c r="AB6" i="1"/>
  <c r="AC6" i="1"/>
  <c r="AB7" i="1"/>
  <c r="AC7" i="1"/>
  <c r="AB8" i="1"/>
  <c r="AC8" i="1"/>
  <c r="AB9" i="1"/>
  <c r="AC9" i="1"/>
  <c r="AB10" i="1"/>
  <c r="AC10" i="1"/>
  <c r="AB11" i="1"/>
  <c r="AC11" i="1"/>
  <c r="AB12" i="1"/>
  <c r="AC12" i="1"/>
  <c r="AB13" i="1"/>
  <c r="AC13" i="1"/>
  <c r="AB14" i="1"/>
  <c r="AC14" i="1"/>
  <c r="AB15" i="1"/>
  <c r="AC15" i="1"/>
  <c r="AB16" i="1"/>
  <c r="AC16" i="1"/>
  <c r="AB17" i="1"/>
  <c r="AC17" i="1"/>
  <c r="AB18" i="1"/>
  <c r="AC18" i="1"/>
  <c r="AB19" i="1"/>
  <c r="AC19" i="1"/>
  <c r="AB20" i="1"/>
  <c r="AC20" i="1"/>
  <c r="AB21" i="1"/>
  <c r="AC21" i="1"/>
  <c r="AB22" i="1"/>
  <c r="AC22" i="1"/>
  <c r="AB23" i="1"/>
  <c r="AC23" i="1"/>
  <c r="AB24" i="1"/>
  <c r="AC24" i="1"/>
  <c r="AB25" i="1"/>
  <c r="AC25" i="1"/>
  <c r="AB26" i="1"/>
  <c r="AC26" i="1"/>
  <c r="AB27" i="1"/>
  <c r="AC27" i="1"/>
  <c r="AB28" i="1"/>
  <c r="AC28" i="1"/>
  <c r="AB29" i="1"/>
  <c r="AC29" i="1"/>
  <c r="AB30" i="1"/>
  <c r="AC30" i="1"/>
  <c r="AB31" i="1"/>
  <c r="AC31" i="1"/>
  <c r="AB32" i="1"/>
  <c r="AC32" i="1"/>
  <c r="AB33" i="1"/>
  <c r="AC33" i="1"/>
  <c r="AB34" i="1"/>
  <c r="AC34" i="1"/>
  <c r="AB35" i="1"/>
  <c r="AC35" i="1"/>
  <c r="AB36" i="1"/>
  <c r="AC36" i="1"/>
  <c r="W37" i="1"/>
  <c r="X37" i="1"/>
  <c r="W38" i="1"/>
  <c r="X38" i="1"/>
  <c r="W39" i="1"/>
  <c r="X39" i="1"/>
  <c r="W40" i="1"/>
  <c r="X40" i="1"/>
  <c r="W41" i="1"/>
  <c r="X41" i="1"/>
  <c r="W42" i="1"/>
  <c r="X42" i="1"/>
  <c r="W43" i="1"/>
  <c r="X43" i="1"/>
  <c r="W44" i="1"/>
  <c r="X44" i="1"/>
  <c r="W45" i="1"/>
  <c r="X45" i="1"/>
  <c r="W46" i="1"/>
  <c r="X46" i="1"/>
  <c r="W47" i="1"/>
  <c r="X47" i="1"/>
  <c r="W48" i="1"/>
  <c r="X48" i="1"/>
  <c r="W49" i="1"/>
  <c r="X49" i="1"/>
  <c r="W50" i="1"/>
  <c r="X50" i="1"/>
  <c r="W51" i="1"/>
  <c r="X51" i="1"/>
  <c r="W52" i="1"/>
  <c r="X52" i="1"/>
  <c r="W53" i="1"/>
  <c r="X53" i="1"/>
  <c r="W54" i="1"/>
  <c r="X54" i="1"/>
  <c r="W55" i="1"/>
  <c r="X55" i="1"/>
  <c r="W56" i="1"/>
  <c r="X56" i="1"/>
  <c r="W57" i="1"/>
  <c r="X57" i="1"/>
  <c r="W58" i="1"/>
  <c r="X58" i="1"/>
  <c r="AB5" i="1"/>
  <c r="AC5" i="1"/>
  <c r="G3" i="1"/>
  <c r="D24" i="1"/>
</calcChain>
</file>

<file path=xl/sharedStrings.xml><?xml version="1.0" encoding="utf-8"?>
<sst xmlns="http://schemas.openxmlformats.org/spreadsheetml/2006/main" count="173" uniqueCount="45">
  <si>
    <t>P</t>
  </si>
  <si>
    <t>L</t>
  </si>
  <si>
    <t>t</t>
  </si>
  <si>
    <t>w</t>
  </si>
  <si>
    <t>h</t>
  </si>
  <si>
    <t>k</t>
  </si>
  <si>
    <t>T_b</t>
  </si>
  <si>
    <t>T_inf</t>
  </si>
  <si>
    <t>m</t>
  </si>
  <si>
    <t>M</t>
  </si>
  <si>
    <t>L_c</t>
  </si>
  <si>
    <t>q_fin (W)</t>
  </si>
  <si>
    <t>qin (W)</t>
  </si>
  <si>
    <t>eff</t>
  </si>
  <si>
    <t>efficiency</t>
  </si>
  <si>
    <t>A_fin</t>
  </si>
  <si>
    <t>n fins</t>
  </si>
  <si>
    <t>Rectangluar fins</t>
  </si>
  <si>
    <t>Fan Size Considerations</t>
  </si>
  <si>
    <t>t_f</t>
  </si>
  <si>
    <t>pr</t>
  </si>
  <si>
    <t>k_f</t>
  </si>
  <si>
    <t>v</t>
  </si>
  <si>
    <t>Re</t>
  </si>
  <si>
    <t>V (m/s)</t>
  </si>
  <si>
    <t>L_max (mm)</t>
  </si>
  <si>
    <t>A_c</t>
  </si>
  <si>
    <t>A_c_b</t>
  </si>
  <si>
    <t>L_upper_lim</t>
  </si>
  <si>
    <t>q_unfinned (W)</t>
  </si>
  <si>
    <t>q</t>
  </si>
  <si>
    <t>A_unfinned</t>
  </si>
  <si>
    <t>CFM</t>
  </si>
  <si>
    <t>V_actual</t>
  </si>
  <si>
    <t>h_actual</t>
  </si>
  <si>
    <t>Re_actual</t>
  </si>
  <si>
    <t>CFM_actual</t>
  </si>
  <si>
    <t>A_duct</t>
  </si>
  <si>
    <t>(guess)</t>
  </si>
  <si>
    <t># Fin sets</t>
  </si>
  <si>
    <t>q_total (W)</t>
  </si>
  <si>
    <t>q_n_total (W)</t>
  </si>
  <si>
    <t>21 X 30 X 15</t>
  </si>
  <si>
    <t>11 X 30 X 20</t>
  </si>
  <si>
    <t>21 X 30 X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</si>
</sst>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E+00"/>
    <numFmt numFmtId="165" formatCode="0.0000E+0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206"/>
      <name val="Calibri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8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11" fontId="0" fillId="0" borderId="0" xfId="0" applyNumberFormat="1"/>
    <xf numFmtId="164" fontId="0" fillId="0" borderId="0" xfId="0" applyNumberFormat="1"/>
    <xf numFmtId="9" fontId="0" fillId="0" borderId="0" xfId="1" applyFont="1"/>
    <xf numFmtId="165" fontId="0" fillId="0" borderId="0" xfId="0" applyNumberFormat="1"/>
    <xf numFmtId="0" fontId="2" fillId="0" borderId="0" xfId="0" applyFont="1"/>
    <xf numFmtId="1" fontId="0" fillId="0" borderId="0" xfId="0" applyNumberFormat="1"/>
    <xf numFmtId="0" fontId="0" fillId="0" borderId="0" xfId="0" applyAlignment="1">
      <alignment wrapText="1" shrinkToFit="1"/>
    </xf>
  </cellXfs>
  <cellStyles count="2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Normal" xfId="0" builtinId="0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4"/>
  <sheetViews>
    <sheetView workbookViewId="0">
      <selection activeCell="B3" sqref="B3"/>
    </sheetView>
  </sheetViews>
  <sheetFormatPr baseColWidth="10" defaultRowHeight="15" x14ac:dyDescent="0"/>
  <cols>
    <col min="4" max="4" width="11.83203125" bestFit="1" customWidth="1"/>
  </cols>
  <sheetData>
    <row r="1" spans="1:30">
      <c r="A1" t="s">
        <v>17</v>
      </c>
    </row>
    <row r="2" spans="1:30">
      <c r="M2" t="s">
        <v>25</v>
      </c>
      <c r="N2">
        <v>50</v>
      </c>
    </row>
    <row r="3" spans="1:30">
      <c r="A3" t="s">
        <v>3</v>
      </c>
      <c r="B3" s="1">
        <v>0.03</v>
      </c>
      <c r="C3" t="s">
        <v>0</v>
      </c>
      <c r="D3">
        <f>(2*B3+2*B4)</f>
        <v>6.25E-2</v>
      </c>
      <c r="F3" t="s">
        <v>28</v>
      </c>
      <c r="G3">
        <f>2.65/D5</f>
        <v>0.15540401460468597</v>
      </c>
    </row>
    <row r="4" spans="1:30">
      <c r="A4" t="s">
        <v>2</v>
      </c>
      <c r="B4" s="1">
        <v>1.25E-3</v>
      </c>
      <c r="C4" t="s">
        <v>26</v>
      </c>
      <c r="D4" s="1">
        <f>B3*B4</f>
        <v>3.7499999999999997E-5</v>
      </c>
      <c r="Z4" t="s">
        <v>4</v>
      </c>
      <c r="AA4" t="s">
        <v>8</v>
      </c>
      <c r="AB4" t="s">
        <v>9</v>
      </c>
      <c r="AC4" t="s">
        <v>30</v>
      </c>
      <c r="AD4" t="s">
        <v>14</v>
      </c>
    </row>
    <row r="5" spans="1:30">
      <c r="A5" t="s">
        <v>1</v>
      </c>
      <c r="B5" s="1">
        <v>8.0000000000000002E-3</v>
      </c>
      <c r="C5" t="s">
        <v>8</v>
      </c>
      <c r="D5">
        <f>SQRT((B6*D3)/(B7*D4))</f>
        <v>17.052326522844496</v>
      </c>
      <c r="G5" s="1"/>
      <c r="Z5">
        <v>1</v>
      </c>
      <c r="AA5">
        <f>SQRT((Z5*$D$3)/($B$7*$D$4))</f>
        <v>2.6518576139191001</v>
      </c>
      <c r="AB5" s="1">
        <f>SQRT(Z5*$D$3*$B$7*$D$4)*($B$8-$B$9)</f>
        <v>5.6328439059457347</v>
      </c>
      <c r="AC5" s="1">
        <f>AB5*TANH(AA5*$D$7)</f>
        <v>0.12881347575413477</v>
      </c>
      <c r="AD5" s="3">
        <f>(TANH(AA5*$B$5))/(AA5*$B$5)</f>
        <v>0.99985000356235754</v>
      </c>
    </row>
    <row r="6" spans="1:30">
      <c r="A6" t="s">
        <v>4</v>
      </c>
      <c r="B6" s="1">
        <f>B37</f>
        <v>41.349177625490562</v>
      </c>
      <c r="C6" t="s">
        <v>9</v>
      </c>
      <c r="D6">
        <f>SQRT(B6*D3*B7*D4)*(B8-B9)</f>
        <v>36.221059921255524</v>
      </c>
      <c r="Z6">
        <v>2</v>
      </c>
      <c r="AA6">
        <f t="shared" ref="V6:AA58" si="0">SQRT((Z6*$D$3)/($B$7*$D$4))</f>
        <v>3.7502930030867465</v>
      </c>
      <c r="AB6" s="1">
        <f t="shared" ref="W6:AB58" si="1">SQRT(Z6*$D$3*$B$7*$D$4)*($B$8-$B$9)</f>
        <v>7.9660442465190968</v>
      </c>
      <c r="AC6" s="1">
        <f t="shared" ref="X6:AC58" si="2">AB6*TANH(AA6*$D$7)</f>
        <v>0.25758204680958346</v>
      </c>
      <c r="AD6" s="3">
        <f t="shared" ref="Y6:AD58" si="3">(TANH(AA6*$B$5))/(AA6*$B$5)</f>
        <v>0.99970006111208554</v>
      </c>
    </row>
    <row r="7" spans="1:30">
      <c r="A7" t="s">
        <v>5</v>
      </c>
      <c r="B7" s="1">
        <v>237</v>
      </c>
      <c r="C7" t="s">
        <v>10</v>
      </c>
      <c r="D7" s="1">
        <f>B5+(B4/2)</f>
        <v>8.6250000000000007E-3</v>
      </c>
      <c r="F7" t="s">
        <v>27</v>
      </c>
      <c r="G7" s="1">
        <f>0.03*B3</f>
        <v>8.9999999999999998E-4</v>
      </c>
      <c r="Z7">
        <v>3</v>
      </c>
      <c r="AA7">
        <f t="shared" si="0"/>
        <v>4.593152121746253</v>
      </c>
      <c r="AB7" s="1">
        <f t="shared" si="1"/>
        <v>9.7563718362027387</v>
      </c>
      <c r="AC7" s="1">
        <f t="shared" si="2"/>
        <v>0.38630574133801676</v>
      </c>
      <c r="AD7" s="3">
        <f t="shared" si="3"/>
        <v>0.99955017261969559</v>
      </c>
    </row>
    <row r="8" spans="1:30">
      <c r="A8" t="s">
        <v>6</v>
      </c>
      <c r="B8" s="1">
        <v>260</v>
      </c>
      <c r="C8" t="s">
        <v>15</v>
      </c>
      <c r="D8" s="1">
        <f>2*(B5*B3)+2*(B5*B4)+(B5*B3)</f>
        <v>7.3999999999999999E-4</v>
      </c>
      <c r="Z8">
        <v>4</v>
      </c>
      <c r="AA8">
        <f t="shared" si="0"/>
        <v>5.3037152278382003</v>
      </c>
      <c r="AB8" s="1">
        <f t="shared" si="1"/>
        <v>11.265687811891469</v>
      </c>
      <c r="AC8" s="1">
        <f t="shared" si="2"/>
        <v>0.5149845874872645</v>
      </c>
      <c r="AD8" s="3">
        <f t="shared" si="3"/>
        <v>0.99940033805571993</v>
      </c>
    </row>
    <row r="9" spans="1:30">
      <c r="A9" t="s">
        <v>7</v>
      </c>
      <c r="B9" s="1">
        <v>21</v>
      </c>
      <c r="C9" t="s">
        <v>31</v>
      </c>
      <c r="D9" s="1">
        <f>(0.03*B3)-(6*D4)</f>
        <v>6.7500000000000004E-4</v>
      </c>
      <c r="Z9">
        <v>5</v>
      </c>
      <c r="AA9">
        <f t="shared" si="0"/>
        <v>5.9297338913735009</v>
      </c>
      <c r="AB9" s="1">
        <f t="shared" si="1"/>
        <v>12.595421880340094</v>
      </c>
      <c r="AC9" s="1">
        <f t="shared" si="2"/>
        <v>0.64361861338134108</v>
      </c>
      <c r="AD9" s="3">
        <f t="shared" si="3"/>
        <v>0.99925055739071356</v>
      </c>
    </row>
    <row r="10" spans="1:30">
      <c r="A10" t="s">
        <v>12</v>
      </c>
      <c r="B10">
        <v>40</v>
      </c>
      <c r="C10" t="s">
        <v>11</v>
      </c>
      <c r="D10" s="1">
        <f>D6*TANH(D5*D7)</f>
        <v>5.2891774360737527</v>
      </c>
      <c r="F10" t="s">
        <v>40</v>
      </c>
      <c r="G10" s="1">
        <f>D12*D10+D11</f>
        <v>38.405720696874781</v>
      </c>
      <c r="K10" s="2"/>
      <c r="Z10">
        <v>6</v>
      </c>
      <c r="AA10">
        <f t="shared" si="0"/>
        <v>6.495698024616309</v>
      </c>
      <c r="AB10" s="1">
        <f t="shared" si="1"/>
        <v>13.797593370312811</v>
      </c>
      <c r="AC10" s="1">
        <f t="shared" si="2"/>
        <v>0.77220784712046997</v>
      </c>
      <c r="AD10" s="3">
        <f t="shared" si="3"/>
        <v>0.99910083059525157</v>
      </c>
    </row>
    <row r="11" spans="1:30">
      <c r="C11" t="s">
        <v>29</v>
      </c>
      <c r="D11" s="1">
        <f>B6*D9*(B8-B9)</f>
        <v>6.6706560804322654</v>
      </c>
      <c r="F11" t="s">
        <v>39</v>
      </c>
      <c r="G11">
        <v>2</v>
      </c>
      <c r="Z11">
        <v>7</v>
      </c>
      <c r="AA11">
        <f t="shared" si="0"/>
        <v>7.0161557587830767</v>
      </c>
      <c r="AB11" s="1">
        <f t="shared" si="1"/>
        <v>14.903104149178118</v>
      </c>
      <c r="AC11" s="1">
        <f t="shared" si="2"/>
        <v>0.90075231678111001</v>
      </c>
      <c r="AD11" s="3">
        <f t="shared" si="3"/>
        <v>0.99895115763993148</v>
      </c>
    </row>
    <row r="12" spans="1:30">
      <c r="C12" t="s">
        <v>16</v>
      </c>
      <c r="D12" s="1">
        <f>6</f>
        <v>6</v>
      </c>
      <c r="F12" t="s">
        <v>41</v>
      </c>
      <c r="G12" s="1">
        <f>G10*G11</f>
        <v>76.811441393749561</v>
      </c>
      <c r="Z12">
        <v>8</v>
      </c>
      <c r="AA12">
        <f t="shared" si="0"/>
        <v>7.500586006173493</v>
      </c>
      <c r="AB12" s="1">
        <f t="shared" si="1"/>
        <v>15.932088493038194</v>
      </c>
      <c r="AC12" s="1">
        <f t="shared" si="2"/>
        <v>1.0292520504159797</v>
      </c>
      <c r="AD12" s="3">
        <f t="shared" si="3"/>
        <v>0.99880153849537179</v>
      </c>
    </row>
    <row r="13" spans="1:30">
      <c r="Z13">
        <v>9</v>
      </c>
      <c r="AA13">
        <f t="shared" si="0"/>
        <v>7.9555728417573004</v>
      </c>
      <c r="AB13" s="1">
        <f t="shared" si="1"/>
        <v>16.898531717837201</v>
      </c>
      <c r="AC13" s="1">
        <f t="shared" si="2"/>
        <v>1.157707076054082</v>
      </c>
      <c r="AD13" s="3">
        <f t="shared" si="3"/>
        <v>0.99865197313221243</v>
      </c>
    </row>
    <row r="14" spans="1:30">
      <c r="Z14">
        <v>10</v>
      </c>
      <c r="AA14">
        <f t="shared" si="0"/>
        <v>8.3859100904437938</v>
      </c>
      <c r="AB14" s="1">
        <f t="shared" si="1"/>
        <v>17.812616446987789</v>
      </c>
      <c r="AC14" s="1">
        <f t="shared" si="2"/>
        <v>1.2861174217007312</v>
      </c>
      <c r="AD14" s="3">
        <f t="shared" si="3"/>
        <v>0.99850246152111477</v>
      </c>
    </row>
    <row r="15" spans="1:30">
      <c r="C15" t="s">
        <v>13</v>
      </c>
      <c r="D15" s="1">
        <f>G10/(G7*B6*(B8-B9))</f>
        <v>4.3180595994374134</v>
      </c>
      <c r="Z15">
        <v>11</v>
      </c>
      <c r="AA15">
        <f t="shared" si="0"/>
        <v>8.7952167028168073</v>
      </c>
      <c r="AB15" s="1">
        <f t="shared" si="1"/>
        <v>18.682029738661964</v>
      </c>
      <c r="AC15" s="1">
        <f t="shared" si="2"/>
        <v>1.4144831153375763</v>
      </c>
      <c r="AD15" s="3">
        <f t="shared" si="3"/>
        <v>0.99835300363276169</v>
      </c>
    </row>
    <row r="16" spans="1:30">
      <c r="C16" t="s">
        <v>14</v>
      </c>
      <c r="D16" s="3">
        <f>(TANH(D5*B5))/(D5*B5)</f>
        <v>0.9938424866471044</v>
      </c>
      <c r="F16" s="3"/>
      <c r="Z16">
        <v>12</v>
      </c>
      <c r="AA16">
        <f t="shared" si="0"/>
        <v>9.186304243492506</v>
      </c>
      <c r="AB16" s="1">
        <f t="shared" si="1"/>
        <v>19.512743672405477</v>
      </c>
      <c r="AC16" s="1">
        <f t="shared" si="2"/>
        <v>1.5428041849226253</v>
      </c>
      <c r="AD16" s="3">
        <f t="shared" si="3"/>
        <v>0.99820359943785752</v>
      </c>
    </row>
    <row r="17" spans="1:30">
      <c r="Z17">
        <v>13</v>
      </c>
      <c r="AA17">
        <f t="shared" si="0"/>
        <v>9.5614086022149039</v>
      </c>
      <c r="AB17" s="1">
        <f t="shared" si="1"/>
        <v>20.309507529572201</v>
      </c>
      <c r="AC17" s="1">
        <f t="shared" si="2"/>
        <v>1.6710806583902731</v>
      </c>
      <c r="AD17" s="3">
        <f t="shared" si="3"/>
        <v>0.99805424890712702</v>
      </c>
    </row>
    <row r="18" spans="1:30">
      <c r="Z18">
        <v>14</v>
      </c>
      <c r="AA18">
        <f t="shared" si="0"/>
        <v>9.9223426297931194</v>
      </c>
      <c r="AB18" s="1">
        <f t="shared" si="1"/>
        <v>21.076172009226436</v>
      </c>
      <c r="AC18" s="1">
        <f t="shared" si="2"/>
        <v>1.7993125636513232</v>
      </c>
      <c r="AD18" s="3">
        <f t="shared" si="3"/>
        <v>0.99790495201131724</v>
      </c>
    </row>
    <row r="19" spans="1:30">
      <c r="Z19">
        <v>15</v>
      </c>
      <c r="AA19">
        <f t="shared" si="0"/>
        <v>10.270600375222013</v>
      </c>
      <c r="AB19" s="1">
        <f t="shared" si="1"/>
        <v>21.815910639513767</v>
      </c>
      <c r="AC19" s="1">
        <f t="shared" si="2"/>
        <v>1.9274999285930161</v>
      </c>
      <c r="AD19" s="3">
        <f t="shared" si="3"/>
        <v>0.99775570872119601</v>
      </c>
    </row>
    <row r="20" spans="1:30">
      <c r="Z20">
        <v>16</v>
      </c>
      <c r="AA20">
        <f t="shared" si="0"/>
        <v>10.607430455676401</v>
      </c>
      <c r="AB20" s="1">
        <f t="shared" si="1"/>
        <v>22.531375623782939</v>
      </c>
      <c r="AC20" s="1">
        <f t="shared" si="2"/>
        <v>2.0556427810790501</v>
      </c>
      <c r="AD20" s="3">
        <f t="shared" si="3"/>
        <v>0.99760651900755259</v>
      </c>
    </row>
    <row r="21" spans="1:30">
      <c r="Z21">
        <v>17</v>
      </c>
      <c r="AA21">
        <f t="shared" si="0"/>
        <v>10.933889046286868</v>
      </c>
      <c r="AB21" s="1">
        <f t="shared" si="1"/>
        <v>23.224810396831014</v>
      </c>
      <c r="AC21" s="1">
        <f t="shared" si="2"/>
        <v>2.1837411489496095</v>
      </c>
      <c r="AD21" s="3">
        <f t="shared" si="3"/>
        <v>0.99745738284119767</v>
      </c>
    </row>
    <row r="22" spans="1:30">
      <c r="A22" t="s">
        <v>18</v>
      </c>
      <c r="Z22">
        <v>18</v>
      </c>
      <c r="AA22">
        <f t="shared" si="0"/>
        <v>11.25087900926024</v>
      </c>
      <c r="AB22" s="1">
        <f t="shared" si="1"/>
        <v>23.898132739557287</v>
      </c>
      <c r="AC22" s="1">
        <f t="shared" si="2"/>
        <v>2.3117950600213888</v>
      </c>
      <c r="AD22" s="3">
        <f t="shared" si="3"/>
        <v>0.9973083001929629</v>
      </c>
    </row>
    <row r="23" spans="1:30">
      <c r="Z23">
        <v>19</v>
      </c>
      <c r="AA23">
        <f t="shared" si="0"/>
        <v>11.559179351732258</v>
      </c>
      <c r="AB23" s="1">
        <f t="shared" si="1"/>
        <v>24.552997350756385</v>
      </c>
      <c r="AC23" s="1">
        <f t="shared" si="2"/>
        <v>2.4398045420876149</v>
      </c>
      <c r="AD23" s="3">
        <f t="shared" si="3"/>
        <v>0.99715927103370106</v>
      </c>
    </row>
    <row r="24" spans="1:30">
      <c r="A24" t="s">
        <v>20</v>
      </c>
      <c r="B24">
        <v>0.68899999999999995</v>
      </c>
      <c r="C24" t="s">
        <v>19</v>
      </c>
      <c r="D24">
        <f>((B8+B9)/2)+273</f>
        <v>413.5</v>
      </c>
      <c r="Z24">
        <v>20</v>
      </c>
      <c r="AA24">
        <f t="shared" si="0"/>
        <v>11.859467782747002</v>
      </c>
      <c r="AB24" s="1">
        <f t="shared" si="1"/>
        <v>25.190843760680188</v>
      </c>
      <c r="AC24" s="1">
        <f t="shared" si="2"/>
        <v>2.567769622918076</v>
      </c>
      <c r="AD24" s="3">
        <f t="shared" si="3"/>
        <v>0.9970102953342862</v>
      </c>
    </row>
    <row r="25" spans="1:30">
      <c r="A25" t="s">
        <v>21</v>
      </c>
      <c r="B25" s="1">
        <v>3.4000000000000002E-2</v>
      </c>
      <c r="Z25">
        <v>21</v>
      </c>
      <c r="AA25">
        <f t="shared" si="0"/>
        <v>12.152338248029256</v>
      </c>
      <c r="AB25" s="1">
        <f t="shared" si="1"/>
        <v>25.812933576867042</v>
      </c>
      <c r="AC25" s="1">
        <f t="shared" si="2"/>
        <v>2.6956903302591431</v>
      </c>
      <c r="AD25" s="3">
        <f t="shared" si="3"/>
        <v>0.99686137306561384</v>
      </c>
    </row>
    <row r="26" spans="1:30">
      <c r="A26" t="s">
        <v>22</v>
      </c>
      <c r="B26" s="1">
        <v>2.6999999999999999E-5</v>
      </c>
      <c r="C26" t="s">
        <v>24</v>
      </c>
      <c r="D26">
        <v>4</v>
      </c>
      <c r="E26" t="s">
        <v>38</v>
      </c>
      <c r="Z26">
        <v>22</v>
      </c>
      <c r="AA26">
        <f t="shared" si="0"/>
        <v>12.438314745133903</v>
      </c>
      <c r="AB26" s="1">
        <f t="shared" si="1"/>
        <v>26.420379829073237</v>
      </c>
      <c r="AC26" s="1">
        <f t="shared" si="2"/>
        <v>2.8235666918337965</v>
      </c>
      <c r="AD26" s="3">
        <f t="shared" si="3"/>
        <v>0.99671250419860025</v>
      </c>
    </row>
    <row r="27" spans="1:30">
      <c r="C27" t="s">
        <v>23</v>
      </c>
      <c r="D27" s="4">
        <f>(D26*$B$3)/$B$26</f>
        <v>4444.4444444444443</v>
      </c>
      <c r="Z27">
        <v>23</v>
      </c>
      <c r="AA27">
        <f t="shared" si="0"/>
        <v>12.717862340170072</v>
      </c>
      <c r="AB27" s="1">
        <f t="shared" si="1"/>
        <v>27.014170370034503</v>
      </c>
      <c r="AC27" s="1">
        <f t="shared" si="2"/>
        <v>2.9513987353416495</v>
      </c>
      <c r="AD27" s="3">
        <f t="shared" si="3"/>
        <v>0.99656368870418288</v>
      </c>
    </row>
    <row r="28" spans="1:30">
      <c r="C28" t="s">
        <v>4</v>
      </c>
      <c r="D28" s="1">
        <f>($B$25*(0.664*(D27^0.5)*($B$24^0.333333)))/$B$3</f>
        <v>44.310597936408655</v>
      </c>
      <c r="Z28">
        <v>24</v>
      </c>
      <c r="AA28">
        <f t="shared" si="0"/>
        <v>12.991396049232618</v>
      </c>
      <c r="AB28" s="1">
        <f t="shared" si="1"/>
        <v>27.595186740625621</v>
      </c>
      <c r="AC28" s="1">
        <f t="shared" si="2"/>
        <v>3.0791864884589719</v>
      </c>
      <c r="AD28" s="3">
        <f t="shared" si="3"/>
        <v>0.99641492655332053</v>
      </c>
    </row>
    <row r="29" spans="1:30">
      <c r="C29" s="5"/>
      <c r="Z29">
        <v>25</v>
      </c>
      <c r="AA29">
        <f t="shared" si="0"/>
        <v>13.259288069595501</v>
      </c>
      <c r="AB29" s="1">
        <f t="shared" si="1"/>
        <v>28.164219529728673</v>
      </c>
      <c r="AC29" s="1">
        <f t="shared" si="2"/>
        <v>3.2069299788387182</v>
      </c>
      <c r="AD29" s="3">
        <f t="shared" si="3"/>
        <v>0.99626621771699286</v>
      </c>
    </row>
    <row r="30" spans="1:30">
      <c r="A30" t="s">
        <v>37</v>
      </c>
      <c r="B30">
        <f>0.022*0.03</f>
        <v>6.5999999999999989E-4</v>
      </c>
      <c r="Z30">
        <v>26</v>
      </c>
      <c r="AA30">
        <f t="shared" si="0"/>
        <v>13.521873720643093</v>
      </c>
      <c r="AB30" s="1">
        <f t="shared" si="1"/>
        <v>28.721980993439502</v>
      </c>
      <c r="AC30" s="1">
        <f t="shared" si="2"/>
        <v>3.334629234110551</v>
      </c>
      <c r="AD30" s="3">
        <f t="shared" si="3"/>
        <v>0.99611756216620084</v>
      </c>
    </row>
    <row r="31" spans="1:30">
      <c r="A31" t="s">
        <v>32</v>
      </c>
      <c r="B31">
        <f>(B30*(1/(0.3042^2)))*(D26*(1/0.3042))*60</f>
        <v>5.6270082008963858</v>
      </c>
      <c r="Z31">
        <v>27</v>
      </c>
      <c r="AA31">
        <f t="shared" si="0"/>
        <v>13.77945636523876</v>
      </c>
      <c r="AB31" s="1">
        <f t="shared" si="1"/>
        <v>29.269115508608213</v>
      </c>
      <c r="AC31" s="1">
        <f t="shared" si="2"/>
        <v>3.4622842818808617</v>
      </c>
      <c r="AD31" s="3">
        <f t="shared" si="3"/>
        <v>0.9959689598719661</v>
      </c>
    </row>
    <row r="32" spans="1:30">
      <c r="Z32">
        <v>28</v>
      </c>
      <c r="AA32">
        <f t="shared" si="0"/>
        <v>14.032311517566153</v>
      </c>
      <c r="AB32" s="1">
        <f t="shared" si="1"/>
        <v>29.806208298356236</v>
      </c>
      <c r="AC32" s="1">
        <f t="shared" si="2"/>
        <v>3.5898951497327993</v>
      </c>
      <c r="AD32" s="3">
        <f t="shared" si="3"/>
        <v>0.99582041080533168</v>
      </c>
    </row>
    <row r="33" spans="1:30">
      <c r="Z33">
        <v>29</v>
      </c>
      <c r="AA33">
        <f t="shared" si="0"/>
        <v>14.280690296008817</v>
      </c>
      <c r="AB33" s="1">
        <f t="shared" si="1"/>
        <v>30.333792766381027</v>
      </c>
      <c r="AC33" s="1">
        <f t="shared" si="2"/>
        <v>3.717461865226293</v>
      </c>
      <c r="AD33" s="3">
        <f t="shared" si="3"/>
        <v>0.9956719149373614</v>
      </c>
    </row>
    <row r="34" spans="1:30" ht="18" customHeight="1">
      <c r="A34" t="s">
        <v>36</v>
      </c>
      <c r="B34">
        <v>4.9000000000000004</v>
      </c>
      <c r="C34" s="7"/>
      <c r="Z34">
        <v>30</v>
      </c>
      <c r="AA34">
        <f t="shared" si="0"/>
        <v>14.52482234435317</v>
      </c>
      <c r="AB34" s="1">
        <f t="shared" si="1"/>
        <v>30.852356701919874</v>
      </c>
      <c r="AC34" s="1">
        <f t="shared" si="2"/>
        <v>3.8449844558980781</v>
      </c>
      <c r="AD34" s="3">
        <f t="shared" si="3"/>
        <v>0.99552347223914062</v>
      </c>
    </row>
    <row r="35" spans="1:30">
      <c r="A35" t="s">
        <v>33</v>
      </c>
      <c r="B35" s="6">
        <f>(B34*(1/B30)*(0.3042^2))*(0.3042)/60</f>
        <v>3.483200894727275</v>
      </c>
      <c r="Z35">
        <v>31</v>
      </c>
      <c r="AA35">
        <f t="shared" si="0"/>
        <v>14.764918318078221</v>
      </c>
      <c r="AB35" s="1">
        <f t="shared" si="1"/>
        <v>31.362347560908923</v>
      </c>
      <c r="AC35" s="1">
        <f t="shared" si="2"/>
        <v>3.9724629492617183</v>
      </c>
      <c r="AD35" s="3">
        <f t="shared" si="3"/>
        <v>0.99537508268177444</v>
      </c>
    </row>
    <row r="36" spans="1:30">
      <c r="A36" t="s">
        <v>35</v>
      </c>
      <c r="B36" s="1">
        <f>(B35*$B$3)/$B$26</f>
        <v>3870.223216363639</v>
      </c>
      <c r="Z36">
        <v>32</v>
      </c>
      <c r="AA36">
        <f t="shared" si="0"/>
        <v>15.001172012346986</v>
      </c>
      <c r="AB36" s="1">
        <f t="shared" si="1"/>
        <v>31.864176986076387</v>
      </c>
      <c r="AC36" s="1">
        <f t="shared" si="2"/>
        <v>4.0998973728076322</v>
      </c>
      <c r="AD36" s="3">
        <f t="shared" si="3"/>
        <v>0.99522674623639051</v>
      </c>
    </row>
    <row r="37" spans="1:30">
      <c r="A37" t="s">
        <v>34</v>
      </c>
      <c r="B37" s="1">
        <f>($B$25*(0.664*(B36^0.5)*($B$24^0.333333)))/$B$3</f>
        <v>41.349177625490562</v>
      </c>
      <c r="U37">
        <v>33</v>
      </c>
      <c r="V37">
        <f t="shared" si="0"/>
        <v>15.233762192857128</v>
      </c>
      <c r="W37" s="1">
        <f t="shared" si="1"/>
        <v>32.358224695875236</v>
      </c>
      <c r="X37" s="1">
        <f t="shared" si="2"/>
        <v>4.2272877540031155</v>
      </c>
      <c r="Y37" s="3">
        <f t="shared" si="3"/>
        <v>0.99507846287413604</v>
      </c>
    </row>
    <row r="38" spans="1:30">
      <c r="U38">
        <v>34</v>
      </c>
      <c r="V38">
        <f t="shared" si="0"/>
        <v>15.462854178741514</v>
      </c>
      <c r="W38" s="1">
        <f t="shared" si="1"/>
        <v>32.844841846742085</v>
      </c>
      <c r="X38" s="1">
        <f t="shared" si="2"/>
        <v>4.3546341202923697</v>
      </c>
      <c r="Y38" s="3">
        <f t="shared" si="3"/>
        <v>0.99493023256618007</v>
      </c>
    </row>
    <row r="39" spans="1:30">
      <c r="U39">
        <v>35</v>
      </c>
      <c r="V39">
        <f t="shared" si="0"/>
        <v>15.688601217365575</v>
      </c>
      <c r="W39" s="1">
        <f t="shared" si="1"/>
        <v>33.324353953321435</v>
      </c>
      <c r="X39" s="1">
        <f t="shared" si="2"/>
        <v>4.4819364990965207</v>
      </c>
      <c r="Y39" s="3">
        <f t="shared" si="3"/>
        <v>0.99478205528371155</v>
      </c>
    </row>
    <row r="40" spans="1:30">
      <c r="U40">
        <v>36</v>
      </c>
      <c r="V40">
        <f t="shared" si="0"/>
        <v>15.911145683514601</v>
      </c>
      <c r="W40" s="1">
        <f t="shared" si="1"/>
        <v>33.797063435674403</v>
      </c>
      <c r="X40" s="1">
        <f t="shared" si="2"/>
        <v>4.609194917813646</v>
      </c>
      <c r="Y40" s="3">
        <f t="shared" si="3"/>
        <v>0.99463393099794173</v>
      </c>
    </row>
    <row r="41" spans="1:30">
      <c r="U41">
        <v>37</v>
      </c>
      <c r="V41">
        <f t="shared" si="0"/>
        <v>16.130620129633144</v>
      </c>
      <c r="W41" s="1">
        <f t="shared" si="1"/>
        <v>34.263251850105377</v>
      </c>
      <c r="X41" s="1">
        <f t="shared" si="2"/>
        <v>4.7364094038187945</v>
      </c>
      <c r="Y41" s="3">
        <f t="shared" si="3"/>
        <v>0.99448585968010161</v>
      </c>
    </row>
    <row r="42" spans="1:30">
      <c r="U42">
        <v>38</v>
      </c>
      <c r="V42">
        <f t="shared" si="0"/>
        <v>16.3471482091228</v>
      </c>
      <c r="W42" s="1">
        <f t="shared" si="1"/>
        <v>34.72318185035035</v>
      </c>
      <c r="X42" s="1">
        <f t="shared" si="2"/>
        <v>4.8635799844640273</v>
      </c>
      <c r="Y42" s="3">
        <f t="shared" si="3"/>
        <v>0.99433784130144354</v>
      </c>
    </row>
    <row r="43" spans="1:30">
      <c r="U43">
        <v>39</v>
      </c>
      <c r="V43">
        <f t="shared" si="0"/>
        <v>16.560845490962333</v>
      </c>
      <c r="W43" s="1">
        <f t="shared" si="1"/>
        <v>35.177098917921732</v>
      </c>
      <c r="X43" s="1">
        <f t="shared" si="2"/>
        <v>4.9907066870784149</v>
      </c>
      <c r="Y43" s="3">
        <f t="shared" si="3"/>
        <v>0.99418987583324048</v>
      </c>
    </row>
    <row r="44" spans="1:30">
      <c r="U44">
        <v>40</v>
      </c>
      <c r="V44">
        <f t="shared" si="0"/>
        <v>16.771820180887588</v>
      </c>
      <c r="W44" s="1">
        <f t="shared" si="1"/>
        <v>35.625232893975578</v>
      </c>
      <c r="X44" s="1">
        <f t="shared" si="2"/>
        <v>5.1177895389680801</v>
      </c>
      <c r="Y44" s="3">
        <f t="shared" si="3"/>
        <v>0.99404196324678595</v>
      </c>
    </row>
    <row r="45" spans="1:30">
      <c r="U45">
        <v>41</v>
      </c>
      <c r="V45">
        <f t="shared" si="0"/>
        <v>16.980173761906233</v>
      </c>
      <c r="W45" s="1">
        <f t="shared" si="1"/>
        <v>36.067799339837045</v>
      </c>
      <c r="X45" s="1">
        <f t="shared" si="2"/>
        <v>5.2448285674162252</v>
      </c>
      <c r="Y45" s="3">
        <f t="shared" si="3"/>
        <v>0.99389410351339502</v>
      </c>
    </row>
    <row r="46" spans="1:30">
      <c r="U46">
        <v>42</v>
      </c>
      <c r="V46">
        <f t="shared" si="0"/>
        <v>17.18600156490827</v>
      </c>
      <c r="W46" s="1">
        <f t="shared" si="1"/>
        <v>36.505000749041216</v>
      </c>
      <c r="X46" s="1">
        <f t="shared" si="2"/>
        <v>5.3718237996831402</v>
      </c>
      <c r="Y46" s="3">
        <f t="shared" si="3"/>
        <v>0.9937462966044025</v>
      </c>
    </row>
    <row r="47" spans="1:30">
      <c r="U47">
        <v>43</v>
      </c>
      <c r="V47">
        <f t="shared" si="0"/>
        <v>17.389393278476689</v>
      </c>
      <c r="W47" s="1">
        <f t="shared" si="1"/>
        <v>36.937027630228314</v>
      </c>
      <c r="X47" s="1">
        <f t="shared" si="2"/>
        <v>5.4987752630062419</v>
      </c>
      <c r="Y47" s="3">
        <f t="shared" si="3"/>
        <v>0.99359854249116486</v>
      </c>
    </row>
    <row r="48" spans="1:30">
      <c r="U48">
        <v>44</v>
      </c>
      <c r="V48">
        <f t="shared" si="0"/>
        <v>17.590433405633615</v>
      </c>
      <c r="W48" s="1">
        <f t="shared" si="1"/>
        <v>37.364059477323927</v>
      </c>
      <c r="X48" s="1">
        <f t="shared" si="2"/>
        <v>5.6256829846000826</v>
      </c>
      <c r="Y48" s="3">
        <f t="shared" si="3"/>
        <v>0.99345084114505888</v>
      </c>
    </row>
    <row r="49" spans="21:25" ht="14" customHeight="1">
      <c r="U49">
        <v>45</v>
      </c>
      <c r="V49">
        <f t="shared" si="0"/>
        <v>17.789201674120502</v>
      </c>
      <c r="W49" s="1">
        <f t="shared" si="1"/>
        <v>37.786265641020286</v>
      </c>
      <c r="X49" s="1">
        <f t="shared" si="2"/>
        <v>5.7525469916563923</v>
      </c>
      <c r="Y49" s="3">
        <f t="shared" si="3"/>
        <v>0.99330319253748267</v>
      </c>
    </row>
    <row r="50" spans="21:25">
      <c r="U50">
        <v>46</v>
      </c>
      <c r="V50">
        <f t="shared" si="0"/>
        <v>17.985773405862545</v>
      </c>
      <c r="W50" s="1">
        <f t="shared" si="1"/>
        <v>38.203806113560205</v>
      </c>
      <c r="X50" s="1">
        <f t="shared" si="2"/>
        <v>5.8793673113440885</v>
      </c>
      <c r="Y50" s="3">
        <f t="shared" si="3"/>
        <v>0.99315559663985342</v>
      </c>
    </row>
    <row r="51" spans="21:25">
      <c r="U51">
        <v>47</v>
      </c>
      <c r="V51">
        <f t="shared" si="0"/>
        <v>18.180219850473016</v>
      </c>
      <c r="W51" s="1">
        <f t="shared" si="1"/>
        <v>38.616832237137864</v>
      </c>
      <c r="X51" s="1">
        <f t="shared" si="2"/>
        <v>6.0061439708093021</v>
      </c>
      <c r="Y51" s="3">
        <f t="shared" si="3"/>
        <v>0.99300805342361054</v>
      </c>
    </row>
    <row r="52" spans="21:25">
      <c r="U52">
        <v>48</v>
      </c>
      <c r="V52">
        <f t="shared" si="0"/>
        <v>18.372608486985012</v>
      </c>
      <c r="W52" s="1">
        <f t="shared" si="1"/>
        <v>39.025487344810955</v>
      </c>
      <c r="X52" s="1">
        <f t="shared" si="2"/>
        <v>6.1328769971754129</v>
      </c>
      <c r="Y52" s="3">
        <f t="shared" si="3"/>
        <v>0.99286056286021385</v>
      </c>
    </row>
    <row r="53" spans="21:25">
      <c r="U53">
        <v>49</v>
      </c>
      <c r="V53">
        <f t="shared" si="0"/>
        <v>18.563003297433703</v>
      </c>
      <c r="W53" s="1">
        <f t="shared" si="1"/>
        <v>39.429907341620144</v>
      </c>
      <c r="X53" s="1">
        <f t="shared" si="2"/>
        <v>6.2595664175430592</v>
      </c>
      <c r="Y53" s="3">
        <f t="shared" si="3"/>
        <v>0.99271312492114339</v>
      </c>
    </row>
    <row r="54" spans="21:25">
      <c r="U54">
        <v>50</v>
      </c>
      <c r="V54">
        <f t="shared" si="0"/>
        <v>18.751465015433734</v>
      </c>
      <c r="W54" s="1">
        <f t="shared" si="1"/>
        <v>39.830221232595477</v>
      </c>
      <c r="X54" s="1">
        <f t="shared" si="2"/>
        <v>6.3862122589901613</v>
      </c>
      <c r="Y54" s="3">
        <f t="shared" si="3"/>
        <v>0.99256573957789984</v>
      </c>
    </row>
    <row r="55" spans="21:25">
      <c r="U55">
        <v>51</v>
      </c>
      <c r="V55">
        <f t="shared" si="0"/>
        <v>18.938051352489673</v>
      </c>
      <c r="W55" s="1">
        <f t="shared" si="1"/>
        <v>40.226551603465211</v>
      </c>
      <c r="X55" s="1">
        <f t="shared" si="2"/>
        <v>6.5128145485719626</v>
      </c>
      <c r="Y55" s="3">
        <f t="shared" si="3"/>
        <v>0.99241840680200466</v>
      </c>
    </row>
    <row r="56" spans="21:25">
      <c r="U56">
        <v>52</v>
      </c>
      <c r="V56">
        <f t="shared" si="0"/>
        <v>19.122817204429808</v>
      </c>
      <c r="W56" s="1">
        <f t="shared" si="1"/>
        <v>40.619015059144402</v>
      </c>
      <c r="X56" s="1">
        <f t="shared" si="2"/>
        <v>6.6393733133210393</v>
      </c>
      <c r="Y56" s="3">
        <f t="shared" si="3"/>
        <v>0.99227112656500005</v>
      </c>
    </row>
    <row r="57" spans="21:25">
      <c r="U57">
        <v>53</v>
      </c>
      <c r="V57">
        <f t="shared" si="0"/>
        <v>19.305814840056279</v>
      </c>
      <c r="W57" s="1">
        <f t="shared" si="1"/>
        <v>41.007722624449045</v>
      </c>
      <c r="X57" s="1">
        <f t="shared" si="2"/>
        <v>6.7658885802473181</v>
      </c>
      <c r="Y57" s="3">
        <f t="shared" si="3"/>
        <v>0.99212389883844854</v>
      </c>
    </row>
    <row r="58" spans="21:25">
      <c r="U58">
        <v>54</v>
      </c>
      <c r="V58">
        <f t="shared" si="0"/>
        <v>19.487094073848926</v>
      </c>
      <c r="W58" s="1">
        <f t="shared" si="1"/>
        <v>41.392780110938425</v>
      </c>
      <c r="X58" s="1">
        <f t="shared" si="2"/>
        <v>6.8923603763381145</v>
      </c>
      <c r="Y58" s="3">
        <f t="shared" si="3"/>
        <v>0.9919767235939333</v>
      </c>
    </row>
    <row r="64" spans="21:25" ht="18" customHeight="1"/>
  </sheetData>
  <conditionalFormatting sqref="D28">
    <cfRule type="cellIs" dxfId="1" priority="4" operator="greaterThanOrEqual">
      <formula>$B$6</formula>
    </cfRule>
  </conditionalFormatting>
  <conditionalFormatting sqref="G10">
    <cfRule type="cellIs" dxfId="0" priority="3" operator="greaterThanOrEqual">
      <formula>40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F17" sqref="F17"/>
    </sheetView>
  </sheetViews>
  <sheetFormatPr baseColWidth="10" defaultRowHeight="15" x14ac:dyDescent="0"/>
  <sheetData>
    <row r="1" spans="1:7">
      <c r="A1" t="s">
        <v>17</v>
      </c>
      <c r="C1" t="s">
        <v>42</v>
      </c>
    </row>
    <row r="3" spans="1:7">
      <c r="A3" t="s">
        <v>3</v>
      </c>
      <c r="B3">
        <v>0.03</v>
      </c>
      <c r="C3" t="s">
        <v>0</v>
      </c>
      <c r="D3">
        <f>(2*B3+2*B4)</f>
        <v>6.25E-2</v>
      </c>
      <c r="F3" t="s">
        <v>28</v>
      </c>
      <c r="G3">
        <f>2.65/D5</f>
        <v>0.15360713442251153</v>
      </c>
    </row>
    <row r="4" spans="1:7">
      <c r="A4" t="s">
        <v>2</v>
      </c>
      <c r="B4">
        <v>1.25E-3</v>
      </c>
      <c r="C4" t="s">
        <v>26</v>
      </c>
      <c r="D4">
        <f>B3*B4</f>
        <v>3.7499999999999997E-5</v>
      </c>
    </row>
    <row r="5" spans="1:7">
      <c r="A5" t="s">
        <v>1</v>
      </c>
      <c r="B5" s="1">
        <v>1.2E-2</v>
      </c>
      <c r="C5" t="s">
        <v>8</v>
      </c>
      <c r="D5">
        <f>SQRT((B6*D3)/(B7*D4))</f>
        <v>17.251802853836946</v>
      </c>
      <c r="F5" t="s">
        <v>27</v>
      </c>
      <c r="G5">
        <f>0.021*B3</f>
        <v>6.3000000000000003E-4</v>
      </c>
    </row>
    <row r="6" spans="1:7">
      <c r="A6" t="s">
        <v>4</v>
      </c>
      <c r="B6">
        <f>B37</f>
        <v>42.322232582828775</v>
      </c>
      <c r="C6" t="s">
        <v>9</v>
      </c>
      <c r="D6">
        <f>SQRT(B6*D3*B7*D4)*(B8-B9)</f>
        <v>36.644770089370738</v>
      </c>
    </row>
    <row r="7" spans="1:7">
      <c r="A7" t="s">
        <v>5</v>
      </c>
      <c r="B7">
        <v>237</v>
      </c>
      <c r="C7" t="s">
        <v>10</v>
      </c>
      <c r="D7">
        <f>B5+(B4/2)</f>
        <v>1.2625000000000001E-2</v>
      </c>
    </row>
    <row r="8" spans="1:7">
      <c r="A8" t="s">
        <v>6</v>
      </c>
      <c r="B8">
        <v>260</v>
      </c>
      <c r="C8" t="s">
        <v>15</v>
      </c>
      <c r="D8">
        <f>2*(B5*B3)+2*(B5*B4)+(B5*B3)</f>
        <v>1.1099999999999999E-3</v>
      </c>
    </row>
    <row r="9" spans="1:7">
      <c r="A9" t="s">
        <v>7</v>
      </c>
      <c r="B9">
        <v>21</v>
      </c>
      <c r="C9" t="s">
        <v>31</v>
      </c>
      <c r="D9">
        <f>(0.021*B3)-(4*D4)</f>
        <v>4.8000000000000007E-4</v>
      </c>
    </row>
    <row r="10" spans="1:7">
      <c r="A10" t="s">
        <v>12</v>
      </c>
      <c r="B10">
        <v>40</v>
      </c>
      <c r="C10" t="s">
        <v>11</v>
      </c>
      <c r="D10">
        <f>D6*TANH(D5*D7)</f>
        <v>7.8575192207027014</v>
      </c>
      <c r="F10" t="s">
        <v>40</v>
      </c>
      <c r="G10">
        <f>D12*D10+D11</f>
        <v>36.285283404712921</v>
      </c>
    </row>
    <row r="11" spans="1:7">
      <c r="C11" t="s">
        <v>29</v>
      </c>
      <c r="D11">
        <f>B6*D9*(B8-B9)</f>
        <v>4.8552065219021179</v>
      </c>
      <c r="F11" t="s">
        <v>39</v>
      </c>
      <c r="G11">
        <v>2</v>
      </c>
    </row>
    <row r="12" spans="1:7">
      <c r="C12" t="s">
        <v>16</v>
      </c>
      <c r="D12">
        <f>4</f>
        <v>4</v>
      </c>
      <c r="F12" t="s">
        <v>41</v>
      </c>
      <c r="G12">
        <f>G10*G11</f>
        <v>72.570566809425841</v>
      </c>
    </row>
    <row r="15" spans="1:7">
      <c r="C15" t="s">
        <v>13</v>
      </c>
      <c r="D15">
        <f>G10/(G5*B6*(B8-B9))</f>
        <v>5.6940791474888277</v>
      </c>
    </row>
    <row r="16" spans="1:7">
      <c r="C16" t="s">
        <v>14</v>
      </c>
      <c r="D16">
        <f>(TANH(D5*B5))/(D5*B5)</f>
        <v>0.98595474563496854</v>
      </c>
    </row>
    <row r="22" spans="1:5">
      <c r="A22" t="s">
        <v>18</v>
      </c>
    </row>
    <row r="24" spans="1:5">
      <c r="A24" t="s">
        <v>20</v>
      </c>
      <c r="B24">
        <v>0.68899999999999995</v>
      </c>
      <c r="C24" t="s">
        <v>19</v>
      </c>
      <c r="D24">
        <f>((B8+B9)/2)+273</f>
        <v>413.5</v>
      </c>
    </row>
    <row r="25" spans="1:5">
      <c r="A25" t="s">
        <v>21</v>
      </c>
      <c r="B25">
        <v>3.4000000000000002E-2</v>
      </c>
    </row>
    <row r="26" spans="1:5">
      <c r="A26" t="s">
        <v>22</v>
      </c>
      <c r="B26">
        <v>2.6999999999999999E-5</v>
      </c>
      <c r="C26" t="s">
        <v>24</v>
      </c>
      <c r="D26">
        <v>4</v>
      </c>
      <c r="E26" t="s">
        <v>38</v>
      </c>
    </row>
    <row r="27" spans="1:5">
      <c r="C27" t="s">
        <v>23</v>
      </c>
      <c r="D27">
        <f>(D26*$B$3)/$B$26</f>
        <v>4444.4444444444443</v>
      </c>
    </row>
    <row r="28" spans="1:5">
      <c r="C28" t="s">
        <v>4</v>
      </c>
      <c r="D28">
        <f>($B$25*(0.664*(D27^0.5)*($B$24^0.333333)))/$B$3</f>
        <v>44.310597936408655</v>
      </c>
    </row>
    <row r="30" spans="1:5">
      <c r="A30" t="s">
        <v>37</v>
      </c>
      <c r="B30">
        <f>0.03*0.021</f>
        <v>6.3000000000000003E-4</v>
      </c>
    </row>
    <row r="31" spans="1:5">
      <c r="A31" t="s">
        <v>32</v>
      </c>
      <c r="B31">
        <f>(B30*(1/(0.3042^2)))*(D26*(1/0.3042))*60</f>
        <v>5.3712351008556425</v>
      </c>
    </row>
    <row r="34" spans="1:2">
      <c r="A34" t="s">
        <v>36</v>
      </c>
      <c r="B34">
        <v>4.9000000000000004</v>
      </c>
    </row>
    <row r="35" spans="1:2">
      <c r="A35" t="s">
        <v>33</v>
      </c>
      <c r="B35">
        <f>(B34*(1/B30)*(0.3042^2))*(0.3042)/60</f>
        <v>3.6490676040000012</v>
      </c>
    </row>
    <row r="36" spans="1:2">
      <c r="A36" t="s">
        <v>35</v>
      </c>
      <c r="B36">
        <f>(B35*$B$3)/$B$26</f>
        <v>4054.5195600000015</v>
      </c>
    </row>
    <row r="37" spans="1:2">
      <c r="A37" t="s">
        <v>34</v>
      </c>
      <c r="B37">
        <f>($B$25*(0.664*(B36^0.5)*($B$24^0.333333)))/$B$3</f>
        <v>42.322232582828775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F19" sqref="F19"/>
    </sheetView>
  </sheetViews>
  <sheetFormatPr baseColWidth="10" defaultRowHeight="15" x14ac:dyDescent="0"/>
  <sheetData>
    <row r="1" spans="1:7">
      <c r="A1" t="s">
        <v>17</v>
      </c>
      <c r="C1" t="s">
        <v>43</v>
      </c>
    </row>
    <row r="3" spans="1:7">
      <c r="A3" t="s">
        <v>3</v>
      </c>
      <c r="B3">
        <v>0.03</v>
      </c>
      <c r="C3" t="s">
        <v>0</v>
      </c>
      <c r="D3">
        <f>(2*B3+2*B4)</f>
        <v>6.25E-2</v>
      </c>
      <c r="F3" t="s">
        <v>28</v>
      </c>
      <c r="G3">
        <f>2.65/D5</f>
        <v>0.14042337896580784</v>
      </c>
    </row>
    <row r="4" spans="1:7">
      <c r="A4" t="s">
        <v>2</v>
      </c>
      <c r="B4">
        <v>1.25E-3</v>
      </c>
      <c r="C4" t="s">
        <v>26</v>
      </c>
      <c r="D4">
        <f>B3*B4</f>
        <v>3.7499999999999997E-5</v>
      </c>
    </row>
    <row r="5" spans="1:7">
      <c r="A5" t="s">
        <v>1</v>
      </c>
      <c r="B5" s="1">
        <v>1.7000000000000001E-2</v>
      </c>
      <c r="C5" t="s">
        <v>8</v>
      </c>
      <c r="D5">
        <f>SQRT((B6*D3)/(B7*D4))</f>
        <v>18.871501451658254</v>
      </c>
      <c r="F5" t="s">
        <v>27</v>
      </c>
      <c r="G5">
        <f>0.011*B3</f>
        <v>3.2999999999999994E-4</v>
      </c>
    </row>
    <row r="6" spans="1:7">
      <c r="A6" t="s">
        <v>4</v>
      </c>
      <c r="B6">
        <f>B37</f>
        <v>50.642193233079411</v>
      </c>
      <c r="C6" t="s">
        <v>9</v>
      </c>
      <c r="D6">
        <f>SQRT(B6*D3*B7*D4)*(B8-B9)</f>
        <v>40.085192127235445</v>
      </c>
    </row>
    <row r="7" spans="1:7">
      <c r="A7" t="s">
        <v>5</v>
      </c>
      <c r="B7">
        <v>237</v>
      </c>
      <c r="C7" t="s">
        <v>10</v>
      </c>
      <c r="D7">
        <f>B5+(B4/2)</f>
        <v>1.7625000000000002E-2</v>
      </c>
    </row>
    <row r="8" spans="1:7">
      <c r="A8" t="s">
        <v>6</v>
      </c>
      <c r="B8">
        <v>260</v>
      </c>
      <c r="C8" t="s">
        <v>15</v>
      </c>
      <c r="D8">
        <f>2*(B5*B3)+2*(B5*B4)+(B5*B3)</f>
        <v>1.5725000000000001E-3</v>
      </c>
    </row>
    <row r="9" spans="1:7">
      <c r="A9" t="s">
        <v>7</v>
      </c>
      <c r="B9">
        <v>21</v>
      </c>
      <c r="C9" t="s">
        <v>31</v>
      </c>
      <c r="D9">
        <f>(0.011*B3)-(3*D4)</f>
        <v>2.1749999999999995E-4</v>
      </c>
    </row>
    <row r="10" spans="1:7">
      <c r="A10" t="s">
        <v>12</v>
      </c>
      <c r="B10">
        <v>40</v>
      </c>
      <c r="C10" t="s">
        <v>11</v>
      </c>
      <c r="D10">
        <f>D6*TANH(D5*D7)</f>
        <v>12.861903740262818</v>
      </c>
      <c r="F10" t="s">
        <v>40</v>
      </c>
      <c r="G10">
        <f>D12*D10+D11</f>
        <v>41.218219030527003</v>
      </c>
    </row>
    <row r="11" spans="1:7">
      <c r="C11" t="s">
        <v>29</v>
      </c>
      <c r="D11">
        <f>B6*D9*(B8-B9)</f>
        <v>2.6325078097385499</v>
      </c>
      <c r="F11" t="s">
        <v>39</v>
      </c>
      <c r="G11">
        <v>2</v>
      </c>
    </row>
    <row r="12" spans="1:7">
      <c r="C12" t="s">
        <v>16</v>
      </c>
      <c r="D12">
        <f>3</f>
        <v>3</v>
      </c>
      <c r="F12" t="s">
        <v>41</v>
      </c>
      <c r="G12">
        <f>G10*G11</f>
        <v>82.436438061054005</v>
      </c>
    </row>
    <row r="15" spans="1:7">
      <c r="C15" t="s">
        <v>13</v>
      </c>
      <c r="D15">
        <f>G10/(G5*B6*(B8-B9))</f>
        <v>10.319647809377752</v>
      </c>
    </row>
    <row r="16" spans="1:7">
      <c r="C16" t="s">
        <v>14</v>
      </c>
      <c r="D16">
        <f>(TANH(D5*B5))/(D5*B5)</f>
        <v>0.96704839066273263</v>
      </c>
    </row>
    <row r="22" spans="1:5">
      <c r="A22" t="s">
        <v>18</v>
      </c>
    </row>
    <row r="24" spans="1:5">
      <c r="A24" t="s">
        <v>20</v>
      </c>
      <c r="B24">
        <v>0.68899999999999995</v>
      </c>
      <c r="C24" t="s">
        <v>19</v>
      </c>
      <c r="D24">
        <f>((B8+B9)/2)+273</f>
        <v>413.5</v>
      </c>
    </row>
    <row r="25" spans="1:5">
      <c r="A25" t="s">
        <v>21</v>
      </c>
      <c r="B25">
        <v>3.4000000000000002E-2</v>
      </c>
    </row>
    <row r="26" spans="1:5">
      <c r="A26" t="s">
        <v>22</v>
      </c>
      <c r="B26">
        <v>2.6999999999999999E-5</v>
      </c>
      <c r="C26" t="s">
        <v>24</v>
      </c>
      <c r="D26">
        <v>4</v>
      </c>
      <c r="E26" t="s">
        <v>38</v>
      </c>
    </row>
    <row r="27" spans="1:5">
      <c r="C27" t="s">
        <v>23</v>
      </c>
      <c r="D27">
        <f>(D26*$B$3)/$B$26</f>
        <v>4444.4444444444443</v>
      </c>
    </row>
    <row r="28" spans="1:5">
      <c r="C28" t="s">
        <v>4</v>
      </c>
      <c r="D28">
        <f>($B$25*(0.664*(D27^0.5)*($B$24^0.333333)))/$B$3</f>
        <v>44.310597936408655</v>
      </c>
    </row>
    <row r="30" spans="1:5">
      <c r="A30" t="s">
        <v>37</v>
      </c>
      <c r="B30">
        <f>0.04*0.011</f>
        <v>4.3999999999999996E-4</v>
      </c>
    </row>
    <row r="31" spans="1:5">
      <c r="A31" t="s">
        <v>32</v>
      </c>
      <c r="B31">
        <f>(B30*(1/(0.3042^2)))*(D26*(1/0.3042))*60</f>
        <v>3.751338800597591</v>
      </c>
    </row>
    <row r="34" spans="1:2">
      <c r="A34" t="s">
        <v>36</v>
      </c>
      <c r="B34">
        <v>4.9000000000000004</v>
      </c>
    </row>
    <row r="35" spans="1:2">
      <c r="A35" t="s">
        <v>33</v>
      </c>
      <c r="B35">
        <f>(B34*(1/B30)*(0.3042^2))*(0.3042)/60</f>
        <v>5.2248013420909114</v>
      </c>
    </row>
    <row r="36" spans="1:2">
      <c r="A36" t="s">
        <v>35</v>
      </c>
      <c r="B36">
        <f>(B35*$B$3)/$B$26</f>
        <v>5805.3348245454572</v>
      </c>
    </row>
    <row r="37" spans="1:2">
      <c r="A37" t="s">
        <v>34</v>
      </c>
      <c r="B37">
        <f>($B$25*(0.664*(B36^0.5)*($B$24^0.333333)))/$B$3</f>
        <v>50.642193233079411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E31" sqref="E31"/>
    </sheetView>
  </sheetViews>
  <sheetFormatPr baseColWidth="10" defaultRowHeight="15" x14ac:dyDescent="0"/>
  <sheetData>
    <row r="1" spans="1:7">
      <c r="A1" t="s">
        <v>17</v>
      </c>
      <c r="C1" t="s">
        <v>44</v>
      </c>
    </row>
    <row r="3" spans="1:7">
      <c r="A3" t="s">
        <v>3</v>
      </c>
      <c r="B3">
        <v>0.03</v>
      </c>
      <c r="C3" t="s">
        <v>0</v>
      </c>
      <c r="D3">
        <f>(2*B3+2*B4)</f>
        <v>6.25E-2</v>
      </c>
      <c r="F3" t="s">
        <v>28</v>
      </c>
      <c r="G3">
        <f>2.65/D5</f>
        <v>0.16506160796400787</v>
      </c>
    </row>
    <row r="4" spans="1:7">
      <c r="A4" t="s">
        <v>2</v>
      </c>
      <c r="B4">
        <v>1.25E-3</v>
      </c>
      <c r="C4" t="s">
        <v>26</v>
      </c>
      <c r="D4">
        <f>B3*B4</f>
        <v>3.7499999999999997E-5</v>
      </c>
    </row>
    <row r="5" spans="1:7">
      <c r="A5" t="s">
        <v>1</v>
      </c>
      <c r="B5" s="1">
        <v>1.7000000000000001E-2</v>
      </c>
      <c r="C5" t="s">
        <v>8</v>
      </c>
      <c r="D5">
        <f>SQRT((B6*D3)/(B7*D4))</f>
        <v>16.054611564052131</v>
      </c>
      <c r="F5" t="s">
        <v>27</v>
      </c>
      <c r="G5">
        <f>0.021*B3</f>
        <v>6.3000000000000003E-4</v>
      </c>
    </row>
    <row r="6" spans="1:7">
      <c r="A6" t="s">
        <v>4</v>
      </c>
      <c r="B6">
        <f>B37</f>
        <v>36.652128561603206</v>
      </c>
      <c r="C6" t="s">
        <v>9</v>
      </c>
      <c r="D6">
        <f>SQRT(B6*D3*B7*D4)*(B8-B9)</f>
        <v>34.101801105847677</v>
      </c>
    </row>
    <row r="7" spans="1:7">
      <c r="A7" t="s">
        <v>5</v>
      </c>
      <c r="B7">
        <v>237</v>
      </c>
      <c r="C7" t="s">
        <v>10</v>
      </c>
      <c r="D7">
        <f>B5+(B4/2)</f>
        <v>1.7625000000000002E-2</v>
      </c>
    </row>
    <row r="8" spans="1:7">
      <c r="A8" t="s">
        <v>6</v>
      </c>
      <c r="B8">
        <v>260</v>
      </c>
      <c r="C8" t="s">
        <v>15</v>
      </c>
      <c r="D8">
        <f>2*(B5*B3)+2*(B5*B4)+(B5*B3)</f>
        <v>1.5725000000000001E-3</v>
      </c>
    </row>
    <row r="9" spans="1:7">
      <c r="A9" t="s">
        <v>7</v>
      </c>
      <c r="B9">
        <v>21</v>
      </c>
      <c r="C9" t="s">
        <v>31</v>
      </c>
      <c r="D9">
        <f>(0.021*B3)-(4*D4)</f>
        <v>4.8000000000000007E-4</v>
      </c>
    </row>
    <row r="10" spans="1:7">
      <c r="A10" t="s">
        <v>12</v>
      </c>
      <c r="B10">
        <v>40</v>
      </c>
      <c r="C10" t="s">
        <v>11</v>
      </c>
      <c r="D10">
        <f>D6*TANH(D5*D7)</f>
        <v>9.3999822894475482</v>
      </c>
      <c r="F10" t="s">
        <v>40</v>
      </c>
      <c r="G10">
        <f>D12*D10+D11</f>
        <v>41.804661346377316</v>
      </c>
    </row>
    <row r="11" spans="1:7">
      <c r="C11" t="s">
        <v>29</v>
      </c>
      <c r="D11">
        <f>B6*D9*(B8-B9)</f>
        <v>4.2047321885871209</v>
      </c>
      <c r="F11" t="s">
        <v>39</v>
      </c>
      <c r="G11">
        <v>2</v>
      </c>
    </row>
    <row r="12" spans="1:7">
      <c r="C12" t="s">
        <v>16</v>
      </c>
      <c r="D12">
        <f>4</f>
        <v>4</v>
      </c>
      <c r="F12" t="s">
        <v>41</v>
      </c>
      <c r="G12">
        <f>G10*G11</f>
        <v>83.609322692754631</v>
      </c>
    </row>
    <row r="15" spans="1:7">
      <c r="C15" t="s">
        <v>13</v>
      </c>
      <c r="D15">
        <f>G10/(G5*B6*(B8-B9))</f>
        <v>7.5750771086144928</v>
      </c>
    </row>
    <row r="16" spans="1:7">
      <c r="C16" t="s">
        <v>14</v>
      </c>
      <c r="D16">
        <f>(TANH(D5*B5))/(D5*B5)</f>
        <v>0.97588821013358107</v>
      </c>
    </row>
    <row r="22" spans="1:5">
      <c r="A22" t="s">
        <v>18</v>
      </c>
    </row>
    <row r="24" spans="1:5">
      <c r="A24" t="s">
        <v>20</v>
      </c>
      <c r="B24">
        <v>0.68899999999999995</v>
      </c>
      <c r="C24" t="s">
        <v>19</v>
      </c>
      <c r="D24">
        <f>((B8+B9)/2)+273</f>
        <v>413.5</v>
      </c>
    </row>
    <row r="25" spans="1:5">
      <c r="A25" t="s">
        <v>21</v>
      </c>
      <c r="B25">
        <v>3.4000000000000002E-2</v>
      </c>
    </row>
    <row r="26" spans="1:5">
      <c r="A26" t="s">
        <v>22</v>
      </c>
      <c r="B26">
        <v>2.6999999999999999E-5</v>
      </c>
      <c r="C26" t="s">
        <v>24</v>
      </c>
      <c r="D26">
        <v>4</v>
      </c>
      <c r="E26" t="s">
        <v>38</v>
      </c>
    </row>
    <row r="27" spans="1:5">
      <c r="C27" t="s">
        <v>23</v>
      </c>
      <c r="D27">
        <f>(D26*$B$3)/$B$26</f>
        <v>4444.4444444444443</v>
      </c>
    </row>
    <row r="28" spans="1:5">
      <c r="C28" t="s">
        <v>4</v>
      </c>
      <c r="D28">
        <f>($B$25*(0.664*(D27^0.5)*($B$24^0.333333)))/$B$3</f>
        <v>44.310597936408655</v>
      </c>
    </row>
    <row r="30" spans="1:5">
      <c r="A30" t="s">
        <v>37</v>
      </c>
      <c r="B30">
        <f>0.04*0.021</f>
        <v>8.4000000000000003E-4</v>
      </c>
    </row>
    <row r="31" spans="1:5">
      <c r="A31" t="s">
        <v>32</v>
      </c>
      <c r="B31">
        <f>(B30*(1/(0.3042^2)))*(D26*(1/0.3042))*60</f>
        <v>7.1616468011408561</v>
      </c>
    </row>
    <row r="34" spans="1:2">
      <c r="A34" t="s">
        <v>36</v>
      </c>
      <c r="B34">
        <v>4.9000000000000004</v>
      </c>
    </row>
    <row r="35" spans="1:2">
      <c r="A35" t="s">
        <v>33</v>
      </c>
      <c r="B35">
        <f>(B34*(1/B30)*(0.3042^2))*(0.3042)/60</f>
        <v>2.7368007030000001</v>
      </c>
    </row>
    <row r="36" spans="1:2">
      <c r="A36" t="s">
        <v>35</v>
      </c>
      <c r="B36">
        <f>(B35*$B$3)/$B$26</f>
        <v>3040.8896700000005</v>
      </c>
    </row>
    <row r="37" spans="1:2">
      <c r="A37" t="s">
        <v>34</v>
      </c>
      <c r="B37">
        <f>($B$25*(0.664*(B36^0.5)*($B$24^0.333333)))/$B$3</f>
        <v>36.652128561603206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56.1 (1)</vt:lpstr>
      <vt:lpstr>46.1 (1)</vt:lpstr>
      <vt:lpstr>37.1 (2)</vt:lpstr>
      <vt:lpstr>46.1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Szmurlo</dc:creator>
  <cp:lastModifiedBy>Matthew Szmurlo</cp:lastModifiedBy>
  <dcterms:created xsi:type="dcterms:W3CDTF">2017-06-24T03:28:47Z</dcterms:created>
  <dcterms:modified xsi:type="dcterms:W3CDTF">2017-07-25T03:35:40Z</dcterms:modified>
</cp:coreProperties>
</file>